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hima\Dropbox\Postdoc Ginebra\Heteroleptiques dqp\Photophysics\"/>
    </mc:Choice>
  </mc:AlternateContent>
  <bookViews>
    <workbookView xWindow="0" yWindow="0" windowWidth="28800" windowHeight="14100"/>
  </bookViews>
  <sheets>
    <sheet name="Crdqptpy" sheetId="1" r:id="rId1"/>
    <sheet name="Crdqpddpd" sheetId="2" r:id="rId2"/>
    <sheet name="CrdqpdqpOMe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1" l="1"/>
  <c r="F24" i="1"/>
  <c r="H23" i="1"/>
  <c r="F23" i="1"/>
  <c r="F20" i="1"/>
  <c r="F30" i="1"/>
  <c r="H20" i="1"/>
  <c r="H23" i="2"/>
  <c r="H24" i="2" s="1"/>
  <c r="F23" i="2"/>
  <c r="F24" i="2" s="1"/>
  <c r="H20" i="2"/>
  <c r="F20" i="2"/>
  <c r="F30" i="3"/>
  <c r="H23" i="3"/>
  <c r="H24" i="3"/>
  <c r="F23" i="3"/>
  <c r="F24" i="3"/>
  <c r="H20" i="3"/>
  <c r="F20" i="3"/>
  <c r="B30" i="2"/>
  <c r="D23" i="3"/>
  <c r="D24" i="3" s="1"/>
  <c r="B23" i="3"/>
  <c r="B24" i="3" s="1"/>
  <c r="D9" i="3"/>
  <c r="D23" i="1"/>
  <c r="D24" i="1" s="1"/>
  <c r="B23" i="1"/>
  <c r="B24" i="1" s="1"/>
  <c r="B30" i="1" s="1"/>
  <c r="D24" i="2"/>
  <c r="B24" i="2"/>
  <c r="D23" i="2"/>
  <c r="B23" i="2"/>
  <c r="D9" i="2"/>
  <c r="B9" i="1"/>
  <c r="B20" i="1" s="1"/>
  <c r="H8" i="3"/>
  <c r="C6" i="3" s="1"/>
  <c r="B8" i="3"/>
  <c r="B9" i="3" s="1"/>
  <c r="H6" i="3"/>
  <c r="D6" i="3"/>
  <c r="D4" i="3"/>
  <c r="D8" i="3" s="1"/>
  <c r="B4" i="3"/>
  <c r="H8" i="2"/>
  <c r="B6" i="2" s="1"/>
  <c r="B8" i="2"/>
  <c r="B9" i="2" s="1"/>
  <c r="H6" i="2"/>
  <c r="E6" i="2"/>
  <c r="D6" i="2"/>
  <c r="C6" i="2"/>
  <c r="D4" i="2"/>
  <c r="D8" i="2" s="1"/>
  <c r="D11" i="2" s="1"/>
  <c r="D13" i="2" s="1"/>
  <c r="B4" i="2"/>
  <c r="B8" i="1"/>
  <c r="H6" i="1"/>
  <c r="H8" i="1" s="1"/>
  <c r="D4" i="1"/>
  <c r="D8" i="1" s="1"/>
  <c r="D9" i="1" s="1"/>
  <c r="B4" i="1"/>
  <c r="F30" i="2" l="1"/>
  <c r="B30" i="3"/>
  <c r="B11" i="1"/>
  <c r="B13" i="1" s="1"/>
  <c r="D20" i="3"/>
  <c r="K13" i="3"/>
  <c r="M13" i="3" s="1"/>
  <c r="D11" i="3"/>
  <c r="D13" i="3" s="1"/>
  <c r="B20" i="3"/>
  <c r="B11" i="3"/>
  <c r="B13" i="3" s="1"/>
  <c r="E6" i="3"/>
  <c r="B6" i="3"/>
  <c r="B20" i="2"/>
  <c r="B11" i="2"/>
  <c r="B13" i="2" s="1"/>
  <c r="D20" i="2"/>
  <c r="K13" i="2"/>
  <c r="M13" i="2" s="1"/>
  <c r="D20" i="1"/>
  <c r="D11" i="1"/>
  <c r="D13" i="1" s="1"/>
  <c r="K13" i="1"/>
  <c r="M13" i="1" s="1"/>
  <c r="E6" i="1"/>
  <c r="D6" i="1"/>
  <c r="C6" i="1"/>
  <c r="B6" i="1"/>
</calcChain>
</file>

<file path=xl/sharedStrings.xml><?xml version="1.0" encoding="utf-8"?>
<sst xmlns="http://schemas.openxmlformats.org/spreadsheetml/2006/main" count="135" uniqueCount="33">
  <si>
    <t>area 2E'</t>
  </si>
  <si>
    <t>area 2E''</t>
  </si>
  <si>
    <t>area 2T1'</t>
  </si>
  <si>
    <t>area 2T1"</t>
  </si>
  <si>
    <t>degeneracy</t>
  </si>
  <si>
    <t>NA</t>
  </si>
  <si>
    <t>c (cm/s)</t>
  </si>
  <si>
    <t>n</t>
  </si>
  <si>
    <t>pi</t>
  </si>
  <si>
    <t>g.state 4A2</t>
  </si>
  <si>
    <t>peak</t>
  </si>
  <si>
    <t>excited 2E</t>
  </si>
  <si>
    <t>moyenne peak</t>
  </si>
  <si>
    <t>excited 2T1</t>
  </si>
  <si>
    <t>oscillator strength(f)</t>
  </si>
  <si>
    <t>oscillator</t>
  </si>
  <si>
    <t>X=</t>
  </si>
  <si>
    <t>krad (s-1)</t>
  </si>
  <si>
    <t>factor pre-integral</t>
  </si>
  <si>
    <t>pre-integral</t>
  </si>
  <si>
    <t>value</t>
  </si>
  <si>
    <t>trad (s)</t>
  </si>
  <si>
    <t>trad(ms)</t>
  </si>
  <si>
    <t>Energy Gap 2T1-2E</t>
  </si>
  <si>
    <t>cm-1</t>
  </si>
  <si>
    <t>pasado a J/mol hay que usar R</t>
  </si>
  <si>
    <t>J/mol</t>
  </si>
  <si>
    <t>tobs (s)</t>
  </si>
  <si>
    <t>knonrad (2E) (s-1)</t>
  </si>
  <si>
    <t>knonrad (2T1)</t>
  </si>
  <si>
    <t>Intrinsic Q.Y.</t>
  </si>
  <si>
    <t>Overall Q.Y.</t>
  </si>
  <si>
    <t>Transfer effi.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</si>
</sst>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E+00"/>
  </numFmts>
  <fonts count="4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</cellStyleXfs>
  <cellXfs count="10">
    <xf numFmtId="0" fontId="0" fillId="0" borderId="0" xfId="0"/>
    <xf numFmtId="164" fontId="0" fillId="0" borderId="0" xfId="0" applyNumberFormat="1"/>
    <xf numFmtId="164" fontId="1" fillId="2" borderId="0" xfId="1" applyNumberFormat="1"/>
    <xf numFmtId="164" fontId="3" fillId="4" borderId="0" xfId="3" applyNumberFormat="1"/>
    <xf numFmtId="164" fontId="2" fillId="3" borderId="0" xfId="2" applyNumberFormat="1"/>
    <xf numFmtId="164" fontId="0" fillId="5" borderId="0" xfId="0" applyNumberFormat="1" applyFill="1"/>
    <xf numFmtId="164" fontId="0" fillId="6" borderId="0" xfId="0" applyNumberFormat="1" applyFill="1"/>
    <xf numFmtId="164" fontId="0" fillId="7" borderId="0" xfId="0" applyNumberFormat="1" applyFill="1"/>
    <xf numFmtId="164" fontId="0" fillId="8" borderId="0" xfId="0" applyNumberFormat="1" applyFill="1"/>
    <xf numFmtId="164" fontId="0" fillId="9" borderId="0" xfId="0" applyNumberFormat="1" applyFill="1"/>
  </cellXfs>
  <cellStyles count="4">
    <cellStyle name="Insatisfaisant" xfId="2" builtinId="27"/>
    <cellStyle name="Neutre" xfId="3" builtinId="28"/>
    <cellStyle name="Normal" xfId="0" builtinId="0"/>
    <cellStyle name="Satisfaisant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133350</xdr:colOff>
      <xdr:row>1</xdr:row>
      <xdr:rowOff>1</xdr:rowOff>
    </xdr:from>
    <xdr:to>
      <xdr:col>8</xdr:col>
      <xdr:colOff>18478</xdr:colOff>
      <xdr:row>2</xdr:row>
      <xdr:rowOff>133351</xdr:rowOff>
    </xdr:to>
    <xdr:pic>
      <xdr:nvPicPr>
        <xdr:cNvPr id="4" name="Image 2">
          <a:extLst>
            <a:ext uri="{FF2B5EF4-FFF2-40B4-BE49-F238E27FC236}">
              <a16:creationId xmlns:a16="http://schemas.microsoft.com/office/drawing/2014/main" id="{BD0DE558-CF3C-4840-8B50-EAD39977B5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96600" y="190501"/>
          <a:ext cx="1866328" cy="323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257175</xdr:colOff>
      <xdr:row>1</xdr:row>
      <xdr:rowOff>19050</xdr:rowOff>
    </xdr:from>
    <xdr:to>
      <xdr:col>12</xdr:col>
      <xdr:colOff>511451</xdr:colOff>
      <xdr:row>3</xdr:row>
      <xdr:rowOff>114300</xdr:rowOff>
    </xdr:to>
    <xdr:pic>
      <xdr:nvPicPr>
        <xdr:cNvPr id="5" name="Image 3">
          <a:extLst>
            <a:ext uri="{FF2B5EF4-FFF2-40B4-BE49-F238E27FC236}">
              <a16:creationId xmlns:a16="http://schemas.microsoft.com/office/drawing/2014/main" id="{CF35B902-7D71-4948-B6F2-0031A27E25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35125" y="209550"/>
          <a:ext cx="2711726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133350</xdr:colOff>
      <xdr:row>1</xdr:row>
      <xdr:rowOff>1</xdr:rowOff>
    </xdr:from>
    <xdr:to>
      <xdr:col>8</xdr:col>
      <xdr:colOff>18478</xdr:colOff>
      <xdr:row>2</xdr:row>
      <xdr:rowOff>133351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BD0DE558-CF3C-4840-8B50-EAD39977B5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29425" y="190501"/>
          <a:ext cx="1866328" cy="323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257175</xdr:colOff>
      <xdr:row>1</xdr:row>
      <xdr:rowOff>19050</xdr:rowOff>
    </xdr:from>
    <xdr:to>
      <xdr:col>12</xdr:col>
      <xdr:colOff>511451</xdr:colOff>
      <xdr:row>3</xdr:row>
      <xdr:rowOff>114300</xdr:rowOff>
    </xdr:to>
    <xdr:pic>
      <xdr:nvPicPr>
        <xdr:cNvPr id="3" name="Image 3">
          <a:extLst>
            <a:ext uri="{FF2B5EF4-FFF2-40B4-BE49-F238E27FC236}">
              <a16:creationId xmlns:a16="http://schemas.microsoft.com/office/drawing/2014/main" id="{CF35B902-7D71-4948-B6F2-0031A27E25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67950" y="209550"/>
          <a:ext cx="2711726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133350</xdr:colOff>
      <xdr:row>1</xdr:row>
      <xdr:rowOff>1</xdr:rowOff>
    </xdr:from>
    <xdr:to>
      <xdr:col>8</xdr:col>
      <xdr:colOff>18478</xdr:colOff>
      <xdr:row>2</xdr:row>
      <xdr:rowOff>133351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BD0DE558-CF3C-4840-8B50-EAD39977B5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29425" y="190501"/>
          <a:ext cx="1866328" cy="323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257175</xdr:colOff>
      <xdr:row>1</xdr:row>
      <xdr:rowOff>19050</xdr:rowOff>
    </xdr:from>
    <xdr:to>
      <xdr:col>12</xdr:col>
      <xdr:colOff>511451</xdr:colOff>
      <xdr:row>3</xdr:row>
      <xdr:rowOff>114300</xdr:rowOff>
    </xdr:to>
    <xdr:pic>
      <xdr:nvPicPr>
        <xdr:cNvPr id="3" name="Image 3">
          <a:extLst>
            <a:ext uri="{FF2B5EF4-FFF2-40B4-BE49-F238E27FC236}">
              <a16:creationId xmlns:a16="http://schemas.microsoft.com/office/drawing/2014/main" id="{CF35B902-7D71-4948-B6F2-0031A27E25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67950" y="209550"/>
          <a:ext cx="2711726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tabSelected="1" workbookViewId="0">
      <selection activeCell="F28" sqref="F28"/>
    </sheetView>
  </sheetViews>
  <sheetFormatPr baseColWidth="10" defaultRowHeight="15" x14ac:dyDescent="0.25"/>
  <cols>
    <col min="1" max="1" width="16.7109375" style="1" customWidth="1"/>
    <col min="2" max="2" width="16.42578125" style="1" customWidth="1"/>
    <col min="3" max="3" width="14.5703125" style="1" customWidth="1"/>
    <col min="4" max="4" width="15.140625" style="1" customWidth="1"/>
    <col min="5" max="5" width="14.140625" style="1" customWidth="1"/>
    <col min="6" max="6" width="15" style="1" customWidth="1"/>
    <col min="7" max="7" width="14.7109375" style="1" customWidth="1"/>
    <col min="8" max="8" width="29.7109375" style="1" customWidth="1"/>
    <col min="9" max="9" width="20" style="1" customWidth="1"/>
    <col min="10" max="10" width="11.85546875" style="1" customWidth="1"/>
    <col min="11" max="11" width="13.5703125" style="1" customWidth="1"/>
    <col min="12" max="12" width="11.42578125" style="1" bestFit="1" customWidth="1"/>
    <col min="13" max="13" width="12.85546875" style="1" customWidth="1"/>
    <col min="14" max="14" width="15.28515625" style="1" customWidth="1"/>
    <col min="15" max="15" width="9.42578125" style="1" bestFit="1" customWidth="1"/>
    <col min="16" max="16" width="8.7109375" style="1"/>
    <col min="17" max="17" width="15" style="1" customWidth="1"/>
    <col min="18" max="18" width="13.140625" style="1" customWidth="1"/>
    <col min="19" max="19" width="14.140625" style="1" customWidth="1"/>
    <col min="20" max="20" width="13.42578125" style="1" customWidth="1"/>
  </cols>
  <sheetData>
    <row r="1" spans="1:20" x14ac:dyDescent="0.25">
      <c r="B1" s="2" t="s">
        <v>0</v>
      </c>
      <c r="C1" s="2" t="s">
        <v>1</v>
      </c>
      <c r="D1" s="2" t="s">
        <v>2</v>
      </c>
      <c r="E1" s="2" t="s">
        <v>3</v>
      </c>
      <c r="H1" s="3"/>
      <c r="J1" s="4"/>
      <c r="K1" s="4"/>
      <c r="L1" s="4"/>
      <c r="M1" s="4"/>
      <c r="N1" s="4"/>
      <c r="O1" s="4" t="s">
        <v>4</v>
      </c>
      <c r="P1" s="4"/>
      <c r="Q1" s="4" t="s">
        <v>5</v>
      </c>
      <c r="R1" s="4" t="s">
        <v>6</v>
      </c>
      <c r="S1" s="4" t="s">
        <v>7</v>
      </c>
      <c r="T1" s="4" t="s">
        <v>8</v>
      </c>
    </row>
    <row r="2" spans="1:20" x14ac:dyDescent="0.25">
      <c r="B2" s="1">
        <v>34.4</v>
      </c>
      <c r="C2" s="1">
        <v>25.62</v>
      </c>
      <c r="D2" s="1">
        <v>8.17</v>
      </c>
      <c r="E2" s="1">
        <v>77.22</v>
      </c>
      <c r="H2" s="3"/>
      <c r="J2" s="4"/>
      <c r="K2" s="4"/>
      <c r="L2" s="4"/>
      <c r="M2" s="4"/>
      <c r="N2" s="4" t="s">
        <v>9</v>
      </c>
      <c r="O2" s="4">
        <v>4</v>
      </c>
      <c r="P2" s="4"/>
      <c r="Q2" s="4">
        <v>6.0229999999999998E+23</v>
      </c>
      <c r="R2" s="4">
        <v>29979245800</v>
      </c>
      <c r="S2" s="4">
        <v>1.3440000000000001</v>
      </c>
      <c r="T2" s="4">
        <v>3.1415899999999999</v>
      </c>
    </row>
    <row r="3" spans="1:20" x14ac:dyDescent="0.25">
      <c r="A3" s="5" t="s">
        <v>10</v>
      </c>
      <c r="B3" s="1">
        <v>13305</v>
      </c>
      <c r="C3" s="1">
        <v>13590</v>
      </c>
      <c r="D3" s="1">
        <v>13800</v>
      </c>
      <c r="E3" s="1">
        <v>14347</v>
      </c>
      <c r="H3" s="3"/>
      <c r="J3" s="4"/>
      <c r="K3" s="4"/>
      <c r="L3" s="4"/>
      <c r="M3" s="4"/>
      <c r="N3" s="4" t="s">
        <v>11</v>
      </c>
      <c r="O3" s="4">
        <v>4</v>
      </c>
      <c r="P3" s="4"/>
      <c r="Q3" s="4"/>
      <c r="R3" s="4"/>
      <c r="S3" s="4"/>
      <c r="T3" s="4"/>
    </row>
    <row r="4" spans="1:20" x14ac:dyDescent="0.25">
      <c r="A4" s="5" t="s">
        <v>12</v>
      </c>
      <c r="B4" s="1">
        <f>(B3+C3)/2</f>
        <v>13447.5</v>
      </c>
      <c r="D4" s="1">
        <f>(D3+E3)/2</f>
        <v>14073.5</v>
      </c>
      <c r="H4" s="3"/>
      <c r="J4" s="4"/>
      <c r="K4" s="4"/>
      <c r="L4" s="4"/>
      <c r="M4" s="4"/>
      <c r="N4" s="4" t="s">
        <v>13</v>
      </c>
      <c r="O4" s="4">
        <v>6</v>
      </c>
      <c r="P4" s="4"/>
      <c r="Q4" s="4"/>
      <c r="R4" s="4"/>
      <c r="S4" s="4"/>
      <c r="T4" s="4"/>
    </row>
    <row r="5" spans="1:20" x14ac:dyDescent="0.25">
      <c r="B5" s="3" t="s">
        <v>14</v>
      </c>
      <c r="C5" s="3" t="s">
        <v>14</v>
      </c>
      <c r="D5" s="3" t="s">
        <v>15</v>
      </c>
      <c r="E5" s="3" t="s">
        <v>15</v>
      </c>
      <c r="H5" s="3" t="s">
        <v>16</v>
      </c>
    </row>
    <row r="6" spans="1:20" x14ac:dyDescent="0.25">
      <c r="B6" s="1">
        <f>H8*B2</f>
        <v>1.2498169360011636E-7</v>
      </c>
      <c r="C6" s="1">
        <f>H8*C2</f>
        <v>9.3082296221947118E-8</v>
      </c>
      <c r="D6" s="1">
        <f>H8*D2</f>
        <v>2.9683152230027633E-8</v>
      </c>
      <c r="E6" s="1">
        <f>H8*E2</f>
        <v>2.8055483662212164E-7</v>
      </c>
      <c r="H6" s="3">
        <f>((1.333^2+2)^2)/(9*1.333)</f>
        <v>1.1890381360607651</v>
      </c>
    </row>
    <row r="7" spans="1:20" x14ac:dyDescent="0.25">
      <c r="B7" s="4" t="s">
        <v>17</v>
      </c>
      <c r="C7" s="4"/>
      <c r="D7" s="4"/>
      <c r="E7" s="4"/>
      <c r="H7" s="3" t="s">
        <v>18</v>
      </c>
    </row>
    <row r="8" spans="1:20" x14ac:dyDescent="0.25">
      <c r="A8" s="1" t="s">
        <v>19</v>
      </c>
      <c r="B8" s="1">
        <f>(8*T2*R2*S2^2*B3^2*4)/(Q2*4)*2303</f>
        <v>0.92123316780929443</v>
      </c>
      <c r="D8" s="1">
        <f>(8*T2*R2*S2^2*D4^2*4)/(Q2*6)*2303</f>
        <v>0.68715195092786763</v>
      </c>
      <c r="H8" s="3">
        <f>0.00000000432/H6</f>
        <v>3.6331887674452428E-9</v>
      </c>
    </row>
    <row r="9" spans="1:20" x14ac:dyDescent="0.25">
      <c r="A9" s="1" t="s">
        <v>20</v>
      </c>
      <c r="B9" s="1">
        <f>B8*(B2+C2)</f>
        <v>55.292414731913851</v>
      </c>
      <c r="D9" s="1">
        <f>D8*(D2+E2)</f>
        <v>58.67590508973062</v>
      </c>
    </row>
    <row r="10" spans="1:20" x14ac:dyDescent="0.25">
      <c r="B10" s="4" t="s">
        <v>21</v>
      </c>
      <c r="C10" s="4"/>
      <c r="D10" s="4"/>
      <c r="E10" s="4"/>
    </row>
    <row r="11" spans="1:20" x14ac:dyDescent="0.25">
      <c r="B11" s="1">
        <f>1/B9</f>
        <v>1.8085663374416108E-2</v>
      </c>
      <c r="D11" s="1">
        <f>1/D9</f>
        <v>1.7042770767161437E-2</v>
      </c>
    </row>
    <row r="12" spans="1:20" x14ac:dyDescent="0.25">
      <c r="B12" s="6" t="s">
        <v>22</v>
      </c>
      <c r="C12" s="6"/>
      <c r="D12" s="6"/>
      <c r="E12" s="6"/>
      <c r="H12" s="5" t="s">
        <v>23</v>
      </c>
      <c r="I12" s="5">
        <v>440</v>
      </c>
      <c r="J12" s="5" t="s">
        <v>24</v>
      </c>
      <c r="K12" s="5"/>
      <c r="L12" s="5"/>
      <c r="M12" s="5"/>
    </row>
    <row r="13" spans="1:20" x14ac:dyDescent="0.25">
      <c r="B13" s="1">
        <f>B11*1000</f>
        <v>18.085663374416107</v>
      </c>
      <c r="D13" s="1">
        <f>D11*1000</f>
        <v>17.042770767161436</v>
      </c>
      <c r="H13" s="5" t="s">
        <v>25</v>
      </c>
      <c r="I13" s="5">
        <v>5264</v>
      </c>
      <c r="J13" s="5" t="s">
        <v>26</v>
      </c>
      <c r="K13" s="5">
        <f>(6/4)*(D9/B9)*EXP((-I13)/(8.314*300))</f>
        <v>0.19288949676596659</v>
      </c>
      <c r="L13" s="5"/>
      <c r="M13" s="5">
        <f>1/K13</f>
        <v>5.1843154591942504</v>
      </c>
    </row>
    <row r="15" spans="1:20" x14ac:dyDescent="0.25">
      <c r="B15" s="7" t="s">
        <v>27</v>
      </c>
      <c r="D15" s="7" t="s">
        <v>27</v>
      </c>
      <c r="F15" s="7" t="s">
        <v>27</v>
      </c>
      <c r="H15" s="7" t="s">
        <v>27</v>
      </c>
    </row>
    <row r="16" spans="1:20" x14ac:dyDescent="0.25">
      <c r="B16" s="1">
        <v>5.7799999999999995E-4</v>
      </c>
      <c r="D16" s="1">
        <v>5.7799999999999995E-4</v>
      </c>
      <c r="F16" s="1">
        <v>3.0000000000000001E-6</v>
      </c>
      <c r="H16" s="1">
        <v>3.0000000000000001E-6</v>
      </c>
    </row>
    <row r="19" spans="2:8" x14ac:dyDescent="0.25">
      <c r="B19" s="5" t="s">
        <v>28</v>
      </c>
      <c r="D19" s="5" t="s">
        <v>29</v>
      </c>
      <c r="F19" s="5" t="s">
        <v>28</v>
      </c>
      <c r="H19" s="5" t="s">
        <v>29</v>
      </c>
    </row>
    <row r="20" spans="2:8" x14ac:dyDescent="0.25">
      <c r="B20" s="1">
        <f>(1/B16)-B9</f>
        <v>1674.8113914964599</v>
      </c>
      <c r="D20" s="1">
        <f>(1/D16)-D9</f>
        <v>1671.4279011386432</v>
      </c>
      <c r="F20" s="1">
        <f>(1/F16)-F9</f>
        <v>333333.33333333331</v>
      </c>
      <c r="H20" s="1">
        <f>(1/H16)-H9</f>
        <v>333333.33333333331</v>
      </c>
    </row>
    <row r="22" spans="2:8" x14ac:dyDescent="0.25">
      <c r="B22" s="8" t="s">
        <v>30</v>
      </c>
      <c r="D22" s="8" t="s">
        <v>30</v>
      </c>
      <c r="F22" s="8" t="s">
        <v>30</v>
      </c>
      <c r="H22" s="8" t="s">
        <v>30</v>
      </c>
    </row>
    <row r="23" spans="2:8" x14ac:dyDescent="0.25">
      <c r="B23" s="1">
        <f>B9*B16</f>
        <v>3.1959015715046203E-2</v>
      </c>
      <c r="D23" s="1">
        <f>D9*D16</f>
        <v>3.3914673141864297E-2</v>
      </c>
      <c r="F23" s="1">
        <f>B9*F16</f>
        <v>1.6587724419574155E-4</v>
      </c>
      <c r="H23" s="1">
        <f>D9*H16</f>
        <v>1.7602771526919187E-4</v>
      </c>
    </row>
    <row r="24" spans="2:8" x14ac:dyDescent="0.25">
      <c r="B24" s="1">
        <f>B23*100</f>
        <v>3.1959015715046202</v>
      </c>
      <c r="D24" s="1">
        <f>D23*100</f>
        <v>3.3914673141864298</v>
      </c>
      <c r="F24" s="1">
        <f>F23*100</f>
        <v>1.6587724419574155E-2</v>
      </c>
      <c r="H24" s="1">
        <f>H23*100</f>
        <v>1.7602771526919189E-2</v>
      </c>
    </row>
    <row r="26" spans="2:8" x14ac:dyDescent="0.25">
      <c r="B26" s="9" t="s">
        <v>31</v>
      </c>
      <c r="F26" s="9" t="s">
        <v>31</v>
      </c>
    </row>
    <row r="27" spans="2:8" x14ac:dyDescent="0.25">
      <c r="B27" s="1">
        <v>0.2</v>
      </c>
      <c r="F27" s="1">
        <v>1.5E-3</v>
      </c>
    </row>
    <row r="29" spans="2:8" x14ac:dyDescent="0.25">
      <c r="B29" s="9" t="s">
        <v>32</v>
      </c>
      <c r="F29" s="9" t="s">
        <v>32</v>
      </c>
    </row>
    <row r="30" spans="2:8" x14ac:dyDescent="0.25">
      <c r="B30" s="1">
        <f>B27/(B24+D25)*100</f>
        <v>6.2580150084484814</v>
      </c>
      <c r="F30" s="1">
        <f>F27/(F24+H24)*100</f>
        <v>4.3871840945139713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workbookViewId="0">
      <selection activeCell="F15" sqref="F15:H30"/>
    </sheetView>
  </sheetViews>
  <sheetFormatPr baseColWidth="10" defaultRowHeight="15" x14ac:dyDescent="0.25"/>
  <cols>
    <col min="1" max="1" width="16.7109375" style="1" customWidth="1"/>
    <col min="2" max="2" width="16.42578125" style="1" customWidth="1"/>
    <col min="3" max="3" width="14.5703125" style="1" customWidth="1"/>
    <col min="4" max="4" width="15.140625" style="1" customWidth="1"/>
    <col min="5" max="5" width="14.140625" style="1" customWidth="1"/>
    <col min="6" max="6" width="11.42578125" style="1"/>
    <col min="7" max="7" width="14.7109375" style="1" customWidth="1"/>
    <col min="8" max="8" width="29.7109375" style="1" customWidth="1"/>
    <col min="9" max="9" width="20" style="1" customWidth="1"/>
    <col min="10" max="10" width="11.85546875" style="1" customWidth="1"/>
    <col min="11" max="11" width="13.5703125" style="1" customWidth="1"/>
    <col min="12" max="12" width="11.42578125" style="1" bestFit="1" customWidth="1"/>
    <col min="13" max="13" width="12.85546875" style="1" customWidth="1"/>
    <col min="14" max="14" width="15.28515625" style="1" customWidth="1"/>
    <col min="15" max="15" width="9.42578125" style="1" bestFit="1" customWidth="1"/>
    <col min="16" max="16" width="11.42578125" style="1"/>
    <col min="17" max="17" width="15" style="1" customWidth="1"/>
    <col min="18" max="18" width="13.140625" style="1" customWidth="1"/>
    <col min="19" max="19" width="14.140625" style="1" customWidth="1"/>
    <col min="20" max="20" width="13.42578125" style="1" customWidth="1"/>
  </cols>
  <sheetData>
    <row r="1" spans="1:20" x14ac:dyDescent="0.25">
      <c r="B1" s="2" t="s">
        <v>0</v>
      </c>
      <c r="C1" s="2" t="s">
        <v>1</v>
      </c>
      <c r="D1" s="2" t="s">
        <v>2</v>
      </c>
      <c r="E1" s="2" t="s">
        <v>3</v>
      </c>
      <c r="H1" s="3"/>
      <c r="J1" s="4"/>
      <c r="K1" s="4"/>
      <c r="L1" s="4"/>
      <c r="M1" s="4"/>
      <c r="N1" s="4"/>
      <c r="O1" s="4" t="s">
        <v>4</v>
      </c>
      <c r="P1" s="4"/>
      <c r="Q1" s="4" t="s">
        <v>5</v>
      </c>
      <c r="R1" s="4" t="s">
        <v>6</v>
      </c>
      <c r="S1" s="4" t="s">
        <v>7</v>
      </c>
      <c r="T1" s="4" t="s">
        <v>8</v>
      </c>
    </row>
    <row r="2" spans="1:20" x14ac:dyDescent="0.25">
      <c r="B2" s="1">
        <v>70.09</v>
      </c>
      <c r="C2" s="1">
        <v>0</v>
      </c>
      <c r="D2" s="1">
        <v>73.010000000000005</v>
      </c>
      <c r="E2" s="1">
        <v>60.06</v>
      </c>
      <c r="H2" s="3"/>
      <c r="J2" s="4"/>
      <c r="K2" s="4"/>
      <c r="L2" s="4"/>
      <c r="M2" s="4"/>
      <c r="N2" s="4" t="s">
        <v>9</v>
      </c>
      <c r="O2" s="4">
        <v>4</v>
      </c>
      <c r="P2" s="4"/>
      <c r="Q2" s="4">
        <v>6.0229999999999998E+23</v>
      </c>
      <c r="R2" s="4">
        <v>29979245800</v>
      </c>
      <c r="S2" s="4">
        <v>1.3440000000000001</v>
      </c>
      <c r="T2" s="4">
        <v>3.1415899999999999</v>
      </c>
    </row>
    <row r="3" spans="1:20" x14ac:dyDescent="0.25">
      <c r="A3" s="5" t="s">
        <v>10</v>
      </c>
      <c r="B3" s="1">
        <v>13106</v>
      </c>
      <c r="C3" s="1">
        <v>0</v>
      </c>
      <c r="D3" s="1">
        <v>13670</v>
      </c>
      <c r="E3" s="1">
        <v>14388</v>
      </c>
      <c r="H3" s="3"/>
      <c r="J3" s="4"/>
      <c r="K3" s="4"/>
      <c r="L3" s="4"/>
      <c r="M3" s="4"/>
      <c r="N3" s="4" t="s">
        <v>11</v>
      </c>
      <c r="O3" s="4">
        <v>4</v>
      </c>
      <c r="P3" s="4"/>
      <c r="Q3" s="4"/>
      <c r="R3" s="4"/>
      <c r="S3" s="4"/>
      <c r="T3" s="4"/>
    </row>
    <row r="4" spans="1:20" x14ac:dyDescent="0.25">
      <c r="A4" s="5" t="s">
        <v>12</v>
      </c>
      <c r="B4" s="1">
        <f>(B3+C3)/2</f>
        <v>6553</v>
      </c>
      <c r="D4" s="1">
        <f>(D3+E3)/2</f>
        <v>14029</v>
      </c>
      <c r="H4" s="3"/>
      <c r="J4" s="4"/>
      <c r="K4" s="4"/>
      <c r="L4" s="4"/>
      <c r="M4" s="4"/>
      <c r="N4" s="4" t="s">
        <v>13</v>
      </c>
      <c r="O4" s="4">
        <v>6</v>
      </c>
      <c r="P4" s="4"/>
      <c r="Q4" s="4"/>
      <c r="R4" s="4"/>
      <c r="S4" s="4"/>
      <c r="T4" s="4"/>
    </row>
    <row r="5" spans="1:20" x14ac:dyDescent="0.25">
      <c r="B5" s="3" t="s">
        <v>14</v>
      </c>
      <c r="C5" s="3" t="s">
        <v>14</v>
      </c>
      <c r="D5" s="3" t="s">
        <v>15</v>
      </c>
      <c r="E5" s="3" t="s">
        <v>15</v>
      </c>
      <c r="H5" s="3" t="s">
        <v>16</v>
      </c>
    </row>
    <row r="6" spans="1:20" x14ac:dyDescent="0.25">
      <c r="B6" s="1">
        <f>H8*B2</f>
        <v>2.5465020071023708E-7</v>
      </c>
      <c r="C6" s="1">
        <f>H8*C2</f>
        <v>0</v>
      </c>
      <c r="D6" s="1">
        <f>H8*D2</f>
        <v>2.652591119111772E-7</v>
      </c>
      <c r="E6" s="1">
        <f>H8*E2</f>
        <v>2.1820931737276128E-7</v>
      </c>
      <c r="H6" s="3">
        <f>((1.333^2+2)^2)/(9*1.333)</f>
        <v>1.1890381360607651</v>
      </c>
    </row>
    <row r="7" spans="1:20" x14ac:dyDescent="0.25">
      <c r="B7" s="4" t="s">
        <v>17</v>
      </c>
      <c r="C7" s="4"/>
      <c r="D7" s="4"/>
      <c r="E7" s="4"/>
      <c r="H7" s="3" t="s">
        <v>18</v>
      </c>
    </row>
    <row r="8" spans="1:20" x14ac:dyDescent="0.25">
      <c r="A8" s="1" t="s">
        <v>19</v>
      </c>
      <c r="B8" s="1">
        <f>(8*T2*R2*S2^2*B3^2*4)/(Q2*4)*2303</f>
        <v>0.89388188313992856</v>
      </c>
      <c r="D8" s="1">
        <f>(8*T2*R2*S2^2*D4^2*4)/(Q2*6)*2303</f>
        <v>0.68281331192171923</v>
      </c>
      <c r="H8" s="3">
        <f>0.00000000432/H6</f>
        <v>3.6331887674452428E-9</v>
      </c>
    </row>
    <row r="9" spans="1:20" x14ac:dyDescent="0.25">
      <c r="A9" s="1" t="s">
        <v>20</v>
      </c>
      <c r="B9" s="1">
        <f>B8*B2</f>
        <v>62.652181189277599</v>
      </c>
      <c r="D9" s="1">
        <f>D8*(D2+E2)</f>
        <v>90.861967417423173</v>
      </c>
    </row>
    <row r="10" spans="1:20" x14ac:dyDescent="0.25">
      <c r="B10" s="4" t="s">
        <v>21</v>
      </c>
      <c r="C10" s="4"/>
      <c r="D10" s="4"/>
      <c r="E10" s="4"/>
    </row>
    <row r="11" spans="1:20" x14ac:dyDescent="0.25">
      <c r="B11" s="1">
        <f>1/B9</f>
        <v>1.5961136244864556E-2</v>
      </c>
      <c r="D11" s="1">
        <f>1/D9</f>
        <v>1.1005704899674512E-2</v>
      </c>
    </row>
    <row r="12" spans="1:20" x14ac:dyDescent="0.25">
      <c r="B12" s="6" t="s">
        <v>22</v>
      </c>
      <c r="C12" s="6"/>
      <c r="D12" s="6"/>
      <c r="E12" s="6"/>
      <c r="H12" s="5" t="s">
        <v>23</v>
      </c>
      <c r="I12" s="5">
        <v>440</v>
      </c>
      <c r="J12" s="5" t="s">
        <v>24</v>
      </c>
      <c r="K12" s="5"/>
      <c r="L12" s="5"/>
      <c r="M12" s="5"/>
    </row>
    <row r="13" spans="1:20" x14ac:dyDescent="0.25">
      <c r="B13" s="1">
        <f>B11*1000</f>
        <v>15.961136244864557</v>
      </c>
      <c r="D13" s="1">
        <f>D11*1000</f>
        <v>11.005704899674512</v>
      </c>
      <c r="H13" s="5" t="s">
        <v>25</v>
      </c>
      <c r="I13" s="5">
        <v>5264</v>
      </c>
      <c r="J13" s="5" t="s">
        <v>26</v>
      </c>
      <c r="K13" s="5">
        <f>(6/4)*(D9/B9)*EXP((-I13)/(8.314*300))</f>
        <v>0.26360902848105139</v>
      </c>
      <c r="L13" s="5"/>
      <c r="M13" s="5">
        <f>1/K13</f>
        <v>3.7934967772618666</v>
      </c>
    </row>
    <row r="15" spans="1:20" x14ac:dyDescent="0.25">
      <c r="B15" s="7" t="s">
        <v>27</v>
      </c>
      <c r="D15" s="7" t="s">
        <v>27</v>
      </c>
      <c r="F15" s="7" t="s">
        <v>27</v>
      </c>
      <c r="H15" s="7" t="s">
        <v>27</v>
      </c>
    </row>
    <row r="16" spans="1:20" x14ac:dyDescent="0.25">
      <c r="B16" s="1">
        <v>6.4000000000000005E-4</v>
      </c>
      <c r="D16" s="1">
        <v>6.4000000000000005E-4</v>
      </c>
      <c r="F16" s="1">
        <v>1.4E-5</v>
      </c>
      <c r="H16" s="1">
        <v>1.4E-5</v>
      </c>
    </row>
    <row r="19" spans="2:8" x14ac:dyDescent="0.25">
      <c r="B19" s="5" t="s">
        <v>28</v>
      </c>
      <c r="D19" s="5" t="s">
        <v>29</v>
      </c>
      <c r="F19" s="5" t="s">
        <v>28</v>
      </c>
      <c r="H19" s="5" t="s">
        <v>29</v>
      </c>
    </row>
    <row r="20" spans="2:8" x14ac:dyDescent="0.25">
      <c r="B20" s="1">
        <f>(1/B16)-B9</f>
        <v>1499.8478188107222</v>
      </c>
      <c r="D20" s="1">
        <f>(1/D16)-D9</f>
        <v>1471.6380325825767</v>
      </c>
      <c r="F20" s="1">
        <f>(1/F16)-F9</f>
        <v>71428.571428571435</v>
      </c>
      <c r="H20" s="1">
        <f>(1/H16)-H9</f>
        <v>71428.571428571435</v>
      </c>
    </row>
    <row r="22" spans="2:8" x14ac:dyDescent="0.25">
      <c r="B22" s="8" t="s">
        <v>30</v>
      </c>
      <c r="D22" s="8" t="s">
        <v>30</v>
      </c>
      <c r="F22" s="8" t="s">
        <v>30</v>
      </c>
      <c r="H22" s="8" t="s">
        <v>30</v>
      </c>
    </row>
    <row r="23" spans="2:8" x14ac:dyDescent="0.25">
      <c r="B23" s="1">
        <f>B9*B16</f>
        <v>4.0097395961137663E-2</v>
      </c>
      <c r="D23" s="1">
        <f>D9*D16</f>
        <v>5.8151659147150835E-2</v>
      </c>
      <c r="F23" s="1">
        <f>B9*F16</f>
        <v>8.7713053664988637E-4</v>
      </c>
      <c r="H23" s="1">
        <f>D9*H16</f>
        <v>1.2720675438439243E-3</v>
      </c>
    </row>
    <row r="24" spans="2:8" x14ac:dyDescent="0.25">
      <c r="B24" s="1">
        <f>B23*100</f>
        <v>4.0097395961137661</v>
      </c>
      <c r="D24" s="1">
        <f>D23*100</f>
        <v>5.8151659147150836</v>
      </c>
      <c r="F24" s="1">
        <f>F23*100</f>
        <v>8.7713053664988633E-2</v>
      </c>
      <c r="H24" s="1">
        <f>H23*100</f>
        <v>0.12720675438439244</v>
      </c>
    </row>
    <row r="26" spans="2:8" x14ac:dyDescent="0.25">
      <c r="B26" s="9" t="s">
        <v>31</v>
      </c>
      <c r="F26" s="9" t="s">
        <v>31</v>
      </c>
    </row>
    <row r="27" spans="2:8" x14ac:dyDescent="0.25">
      <c r="B27" s="1">
        <v>6</v>
      </c>
      <c r="F27" s="1">
        <v>0.12</v>
      </c>
    </row>
    <row r="29" spans="2:8" x14ac:dyDescent="0.25">
      <c r="B29" s="9" t="s">
        <v>32</v>
      </c>
      <c r="F29" s="9" t="s">
        <v>32</v>
      </c>
    </row>
    <row r="30" spans="2:8" x14ac:dyDescent="0.25">
      <c r="B30" s="1">
        <f>B27/(B24+D24)*100</f>
        <v>61.069289606774326</v>
      </c>
      <c r="F30" s="1">
        <f>F27/(F24+H24)*100</f>
        <v>55.834779069050811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zoomScaleNormal="100" workbookViewId="0">
      <selection activeCell="F15" sqref="F15:H30"/>
    </sheetView>
  </sheetViews>
  <sheetFormatPr baseColWidth="10" defaultRowHeight="15" x14ac:dyDescent="0.25"/>
  <cols>
    <col min="1" max="1" width="16.7109375" style="1" customWidth="1"/>
    <col min="2" max="2" width="16.42578125" style="1" customWidth="1"/>
    <col min="3" max="3" width="14.5703125" style="1" customWidth="1"/>
    <col min="4" max="4" width="15.140625" style="1" customWidth="1"/>
    <col min="5" max="5" width="14.140625" style="1" customWidth="1"/>
    <col min="6" max="6" width="11.42578125" style="1"/>
    <col min="7" max="7" width="14.7109375" style="1" customWidth="1"/>
    <col min="8" max="8" width="29.7109375" style="1" customWidth="1"/>
    <col min="9" max="9" width="20" style="1" customWidth="1"/>
    <col min="10" max="10" width="11.85546875" style="1" customWidth="1"/>
    <col min="11" max="11" width="13.5703125" style="1" customWidth="1"/>
    <col min="12" max="12" width="11.42578125" style="1" bestFit="1" customWidth="1"/>
    <col min="13" max="13" width="12.85546875" style="1" customWidth="1"/>
    <col min="14" max="14" width="15.28515625" style="1" customWidth="1"/>
    <col min="15" max="15" width="9.42578125" style="1" bestFit="1" customWidth="1"/>
    <col min="16" max="16" width="11.42578125" style="1"/>
    <col min="17" max="17" width="15" style="1" customWidth="1"/>
    <col min="18" max="18" width="13.140625" style="1" customWidth="1"/>
    <col min="19" max="19" width="14.140625" style="1" customWidth="1"/>
    <col min="20" max="20" width="13.42578125" style="1" customWidth="1"/>
  </cols>
  <sheetData>
    <row r="1" spans="1:20" x14ac:dyDescent="0.25">
      <c r="B1" s="2" t="s">
        <v>0</v>
      </c>
      <c r="C1" s="2" t="s">
        <v>1</v>
      </c>
      <c r="D1" s="2" t="s">
        <v>2</v>
      </c>
      <c r="E1" s="2" t="s">
        <v>3</v>
      </c>
      <c r="H1" s="3"/>
      <c r="J1" s="4"/>
      <c r="K1" s="4"/>
      <c r="L1" s="4"/>
      <c r="M1" s="4"/>
      <c r="N1" s="4"/>
      <c r="O1" s="4" t="s">
        <v>4</v>
      </c>
      <c r="P1" s="4"/>
      <c r="Q1" s="4" t="s">
        <v>5</v>
      </c>
      <c r="R1" s="4" t="s">
        <v>6</v>
      </c>
      <c r="S1" s="4" t="s">
        <v>7</v>
      </c>
      <c r="T1" s="4" t="s">
        <v>8</v>
      </c>
    </row>
    <row r="2" spans="1:20" x14ac:dyDescent="0.25">
      <c r="B2" s="1">
        <v>11.91</v>
      </c>
      <c r="C2" s="1">
        <v>0</v>
      </c>
      <c r="D2" s="1">
        <v>62.92</v>
      </c>
      <c r="E2" s="1">
        <v>27.88</v>
      </c>
      <c r="H2" s="3"/>
      <c r="J2" s="4"/>
      <c r="K2" s="4"/>
      <c r="L2" s="4"/>
      <c r="M2" s="4"/>
      <c r="N2" s="4" t="s">
        <v>9</v>
      </c>
      <c r="O2" s="4">
        <v>4</v>
      </c>
      <c r="P2" s="4"/>
      <c r="Q2" s="4">
        <v>6.0229999999999998E+23</v>
      </c>
      <c r="R2" s="4">
        <v>29979245800</v>
      </c>
      <c r="S2" s="4">
        <v>1.3440000000000001</v>
      </c>
      <c r="T2" s="4">
        <v>3.1415899999999999</v>
      </c>
    </row>
    <row r="3" spans="1:20" x14ac:dyDescent="0.25">
      <c r="A3" s="5" t="s">
        <v>10</v>
      </c>
      <c r="B3" s="1">
        <v>13262</v>
      </c>
      <c r="C3" s="1">
        <v>0</v>
      </c>
      <c r="D3" s="1">
        <v>13755</v>
      </c>
      <c r="E3" s="1">
        <v>14281</v>
      </c>
      <c r="H3" s="3"/>
      <c r="J3" s="4"/>
      <c r="K3" s="4"/>
      <c r="L3" s="4"/>
      <c r="M3" s="4"/>
      <c r="N3" s="4" t="s">
        <v>11</v>
      </c>
      <c r="O3" s="4">
        <v>4</v>
      </c>
      <c r="P3" s="4"/>
      <c r="Q3" s="4"/>
      <c r="R3" s="4"/>
      <c r="S3" s="4"/>
      <c r="T3" s="4"/>
    </row>
    <row r="4" spans="1:20" x14ac:dyDescent="0.25">
      <c r="A4" s="5" t="s">
        <v>12</v>
      </c>
      <c r="B4" s="1">
        <f>(B3+C3)/2</f>
        <v>6631</v>
      </c>
      <c r="D4" s="1">
        <f>(D3+E3)/2</f>
        <v>14018</v>
      </c>
      <c r="H4" s="3"/>
      <c r="J4" s="4"/>
      <c r="K4" s="4"/>
      <c r="L4" s="4"/>
      <c r="M4" s="4"/>
      <c r="N4" s="4" t="s">
        <v>13</v>
      </c>
      <c r="O4" s="4">
        <v>6</v>
      </c>
      <c r="P4" s="4"/>
      <c r="Q4" s="4"/>
      <c r="R4" s="4"/>
      <c r="S4" s="4"/>
      <c r="T4" s="4"/>
    </row>
    <row r="5" spans="1:20" x14ac:dyDescent="0.25">
      <c r="B5" s="3" t="s">
        <v>14</v>
      </c>
      <c r="C5" s="3" t="s">
        <v>14</v>
      </c>
      <c r="D5" s="3" t="s">
        <v>15</v>
      </c>
      <c r="E5" s="3" t="s">
        <v>15</v>
      </c>
      <c r="H5" s="3" t="s">
        <v>16</v>
      </c>
    </row>
    <row r="6" spans="1:20" x14ac:dyDescent="0.25">
      <c r="B6" s="1">
        <f>H8*B2</f>
        <v>4.3271278220272844E-8</v>
      </c>
      <c r="C6" s="1">
        <f>H8*C2</f>
        <v>0</v>
      </c>
      <c r="D6" s="1">
        <f>H8*D2</f>
        <v>2.2860023724765468E-7</v>
      </c>
      <c r="E6" s="1">
        <f>H8*E2</f>
        <v>1.0129330283637337E-7</v>
      </c>
      <c r="H6" s="3">
        <f>((1.333^2+2)^2)/(9*1.333)</f>
        <v>1.1890381360607651</v>
      </c>
    </row>
    <row r="7" spans="1:20" x14ac:dyDescent="0.25">
      <c r="B7" s="4" t="s">
        <v>17</v>
      </c>
      <c r="C7" s="4"/>
      <c r="D7" s="4"/>
      <c r="E7" s="4"/>
      <c r="H7" s="3" t="s">
        <v>18</v>
      </c>
    </row>
    <row r="8" spans="1:20" x14ac:dyDescent="0.25">
      <c r="A8" s="1" t="s">
        <v>19</v>
      </c>
      <c r="B8" s="1">
        <f>(8*T2*R2*S2^2*B3^2*4)/(Q2*4)*2303</f>
        <v>0.91528818258787958</v>
      </c>
      <c r="D8" s="1">
        <f>(8*T2*R2*S2^2*D4^2*4)/(Q2*6)*2303</f>
        <v>0.68174295739869217</v>
      </c>
      <c r="H8" s="3">
        <f>0.00000000432/H6</f>
        <v>3.6331887674452428E-9</v>
      </c>
    </row>
    <row r="9" spans="1:20" x14ac:dyDescent="0.25">
      <c r="A9" s="1" t="s">
        <v>20</v>
      </c>
      <c r="B9" s="1">
        <f>B8*B2</f>
        <v>10.901082254621645</v>
      </c>
      <c r="D9" s="1">
        <f>D8*(D2+E2)</f>
        <v>61.902260531801247</v>
      </c>
    </row>
    <row r="10" spans="1:20" x14ac:dyDescent="0.25">
      <c r="B10" s="4" t="s">
        <v>21</v>
      </c>
      <c r="C10" s="4"/>
      <c r="D10" s="4"/>
      <c r="E10" s="4"/>
    </row>
    <row r="11" spans="1:20" x14ac:dyDescent="0.25">
      <c r="B11" s="1">
        <f>1/B9</f>
        <v>9.1734011049777922E-2</v>
      </c>
      <c r="D11" s="1">
        <f>1/D9</f>
        <v>1.615449890535527E-2</v>
      </c>
    </row>
    <row r="12" spans="1:20" x14ac:dyDescent="0.25">
      <c r="B12" s="6" t="s">
        <v>22</v>
      </c>
      <c r="C12" s="6"/>
      <c r="D12" s="6"/>
      <c r="E12" s="6"/>
      <c r="H12" s="5" t="s">
        <v>23</v>
      </c>
      <c r="I12" s="5">
        <v>440</v>
      </c>
      <c r="J12" s="5" t="s">
        <v>24</v>
      </c>
      <c r="K12" s="5"/>
      <c r="L12" s="5"/>
      <c r="M12" s="5"/>
    </row>
    <row r="13" spans="1:20" x14ac:dyDescent="0.25">
      <c r="B13" s="1">
        <f>B11*1000</f>
        <v>91.734011049777919</v>
      </c>
      <c r="D13" s="1">
        <f>D11*1000</f>
        <v>16.154498905355268</v>
      </c>
      <c r="H13" s="5" t="s">
        <v>25</v>
      </c>
      <c r="I13" s="5">
        <v>5264</v>
      </c>
      <c r="J13" s="5" t="s">
        <v>26</v>
      </c>
      <c r="K13" s="5">
        <f>(6/4)*(D9/B9)*EXP((-I13)/(8.314*300))</f>
        <v>1.0321699987532711</v>
      </c>
      <c r="L13" s="5"/>
      <c r="M13" s="5">
        <f>1/K13</f>
        <v>0.96883265470598035</v>
      </c>
    </row>
    <row r="15" spans="1:20" x14ac:dyDescent="0.25">
      <c r="B15" s="7" t="s">
        <v>27</v>
      </c>
      <c r="D15" s="7" t="s">
        <v>27</v>
      </c>
      <c r="F15" s="7" t="s">
        <v>27</v>
      </c>
      <c r="H15" s="7" t="s">
        <v>27</v>
      </c>
    </row>
    <row r="16" spans="1:20" x14ac:dyDescent="0.25">
      <c r="B16" s="1">
        <v>8.5999999999999998E-4</v>
      </c>
      <c r="D16" s="1">
        <v>8.5999999999999998E-4</v>
      </c>
      <c r="F16" s="1">
        <v>2.5000000000000001E-5</v>
      </c>
      <c r="H16" s="1">
        <v>2.5000000000000001E-5</v>
      </c>
    </row>
    <row r="19" spans="2:8" x14ac:dyDescent="0.25">
      <c r="B19" s="5" t="s">
        <v>28</v>
      </c>
      <c r="D19" s="5" t="s">
        <v>29</v>
      </c>
      <c r="F19" s="5" t="s">
        <v>28</v>
      </c>
      <c r="H19" s="5" t="s">
        <v>29</v>
      </c>
    </row>
    <row r="20" spans="2:8" x14ac:dyDescent="0.25">
      <c r="B20" s="1">
        <f>(1/B16)-B9</f>
        <v>1151.8896154197971</v>
      </c>
      <c r="D20" s="1">
        <f>(1/D16)-D9</f>
        <v>1100.8884371426175</v>
      </c>
      <c r="F20" s="1">
        <f>(1/F16)-F9</f>
        <v>40000</v>
      </c>
      <c r="H20" s="1">
        <f>(1/H16)-H9</f>
        <v>40000</v>
      </c>
    </row>
    <row r="22" spans="2:8" x14ac:dyDescent="0.25">
      <c r="B22" s="8" t="s">
        <v>30</v>
      </c>
      <c r="D22" s="8" t="s">
        <v>30</v>
      </c>
      <c r="F22" s="8" t="s">
        <v>30</v>
      </c>
      <c r="H22" s="8" t="s">
        <v>30</v>
      </c>
    </row>
    <row r="23" spans="2:8" x14ac:dyDescent="0.25">
      <c r="B23" s="1">
        <f>B9*B16</f>
        <v>9.3749307389746142E-3</v>
      </c>
      <c r="D23" s="1">
        <f>D9*D16</f>
        <v>5.323594405734907E-2</v>
      </c>
      <c r="F23" s="1">
        <f>B9*F16</f>
        <v>2.7252705636554114E-4</v>
      </c>
      <c r="H23" s="1">
        <f>D9*H16</f>
        <v>1.5475565132950313E-3</v>
      </c>
    </row>
    <row r="24" spans="2:8" x14ac:dyDescent="0.25">
      <c r="B24" s="1">
        <f>B23*100</f>
        <v>0.93749307389746139</v>
      </c>
      <c r="D24" s="1">
        <f>D23*100</f>
        <v>5.3235944057349069</v>
      </c>
      <c r="F24" s="1">
        <f>F23*100</f>
        <v>2.7252705636554114E-2</v>
      </c>
      <c r="H24" s="1">
        <f>H23*100</f>
        <v>0.15475565132950314</v>
      </c>
    </row>
    <row r="26" spans="2:8" x14ac:dyDescent="0.25">
      <c r="B26" s="9" t="s">
        <v>31</v>
      </c>
      <c r="F26" s="9" t="s">
        <v>31</v>
      </c>
    </row>
    <row r="27" spans="2:8" x14ac:dyDescent="0.25">
      <c r="B27" s="1">
        <v>6.5</v>
      </c>
      <c r="F27" s="1">
        <v>0.16</v>
      </c>
    </row>
    <row r="29" spans="2:8" x14ac:dyDescent="0.25">
      <c r="B29" s="9" t="s">
        <v>32</v>
      </c>
      <c r="F29" s="9" t="s">
        <v>32</v>
      </c>
    </row>
    <row r="30" spans="2:8" x14ac:dyDescent="0.25">
      <c r="B30" s="1">
        <f>B27/(B24+D24)*100</f>
        <v>103.81583105402737</v>
      </c>
      <c r="F30" s="1">
        <f>F27/(F24+H24)*100</f>
        <v>87.908051403287175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Crdqptpy</vt:lpstr>
      <vt:lpstr>Crdqpddpd</vt:lpstr>
      <vt:lpstr>CrdqpdqpOMe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Windows</dc:creator>
  <cp:lastModifiedBy>Utilisateur Windows</cp:lastModifiedBy>
  <dcterms:created xsi:type="dcterms:W3CDTF">2020-07-08T07:35:22Z</dcterms:created>
  <dcterms:modified xsi:type="dcterms:W3CDTF">2020-07-08T15:39:22Z</dcterms:modified>
</cp:coreProperties>
</file>